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O CEPEDA\Downloads\"/>
    </mc:Choice>
  </mc:AlternateContent>
  <xr:revisionPtr revIDLastSave="0" documentId="13_ncr:1_{8565919A-FE63-4D96-85C2-3167E7B3C465}" xr6:coauthVersionLast="47" xr6:coauthVersionMax="47" xr10:uidLastSave="{00000000-0000-0000-0000-000000000000}"/>
  <bookViews>
    <workbookView xWindow="-120" yWindow="-120" windowWidth="20730" windowHeight="11160" xr2:uid="{81702E59-7ED2-4599-BB97-8B0907CF4901}"/>
  </bookViews>
  <sheets>
    <sheet name="RESUTADOS DE ANALISI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9" i="1" l="1"/>
  <c r="I49" i="1"/>
  <c r="J49" i="1" s="1"/>
  <c r="H49" i="1"/>
  <c r="K47" i="1"/>
  <c r="I47" i="1"/>
  <c r="J47" i="1" s="1"/>
  <c r="H47" i="1"/>
  <c r="K45" i="1"/>
  <c r="I45" i="1"/>
  <c r="J45" i="1" s="1"/>
  <c r="H45" i="1"/>
  <c r="K44" i="1"/>
  <c r="I44" i="1"/>
  <c r="J44" i="1" s="1"/>
  <c r="H44" i="1"/>
  <c r="K43" i="1"/>
  <c r="I43" i="1"/>
  <c r="J43" i="1" s="1"/>
  <c r="H43" i="1"/>
  <c r="K42" i="1"/>
  <c r="I42" i="1"/>
  <c r="J42" i="1" s="1"/>
  <c r="H42" i="1"/>
  <c r="K41" i="1"/>
  <c r="I41" i="1"/>
  <c r="J41" i="1" s="1"/>
  <c r="H41" i="1"/>
  <c r="K40" i="1"/>
  <c r="I40" i="1"/>
  <c r="J40" i="1" s="1"/>
  <c r="H40" i="1"/>
  <c r="K39" i="1"/>
  <c r="I39" i="1"/>
  <c r="J39" i="1" s="1"/>
  <c r="H39" i="1"/>
  <c r="K38" i="1"/>
  <c r="I38" i="1"/>
  <c r="J38" i="1" s="1"/>
  <c r="H38" i="1"/>
  <c r="K37" i="1"/>
  <c r="I37" i="1"/>
  <c r="J37" i="1" s="1"/>
  <c r="H37" i="1"/>
  <c r="K36" i="1"/>
  <c r="I36" i="1"/>
  <c r="J36" i="1" s="1"/>
  <c r="H36" i="1"/>
  <c r="K35" i="1"/>
  <c r="I35" i="1"/>
  <c r="J35" i="1" s="1"/>
  <c r="H35" i="1"/>
  <c r="K34" i="1"/>
  <c r="I34" i="1"/>
  <c r="J34" i="1" s="1"/>
  <c r="H34" i="1"/>
  <c r="K33" i="1"/>
  <c r="I33" i="1"/>
  <c r="J33" i="1" s="1"/>
  <c r="H33" i="1"/>
  <c r="K32" i="1"/>
  <c r="I32" i="1"/>
  <c r="J32" i="1" s="1"/>
  <c r="H32" i="1"/>
  <c r="K31" i="1"/>
  <c r="I31" i="1"/>
  <c r="J31" i="1" s="1"/>
  <c r="H31" i="1"/>
  <c r="K30" i="1"/>
  <c r="I30" i="1"/>
  <c r="J30" i="1" s="1"/>
  <c r="H30" i="1"/>
  <c r="K29" i="1"/>
  <c r="I29" i="1"/>
  <c r="J29" i="1" s="1"/>
  <c r="H29" i="1"/>
  <c r="K28" i="1"/>
  <c r="I28" i="1"/>
  <c r="J28" i="1" s="1"/>
  <c r="H28" i="1"/>
  <c r="K26" i="1"/>
  <c r="I26" i="1"/>
  <c r="H26" i="1"/>
  <c r="I25" i="1"/>
  <c r="K24" i="1"/>
  <c r="I24" i="1"/>
  <c r="J24" i="1" s="1"/>
  <c r="H24" i="1"/>
  <c r="K23" i="1"/>
  <c r="I23" i="1"/>
  <c r="J23" i="1" s="1"/>
  <c r="H23" i="1"/>
  <c r="H58" i="1" l="1"/>
  <c r="K58" i="1"/>
  <c r="H59" i="1" s="1"/>
  <c r="K59" i="1" s="1"/>
</calcChain>
</file>

<file path=xl/sharedStrings.xml><?xml version="1.0" encoding="utf-8"?>
<sst xmlns="http://schemas.openxmlformats.org/spreadsheetml/2006/main" count="146" uniqueCount="107">
  <si>
    <t>RESULTADOS DE ANÁLISIS LABORATORIO MÓVIL</t>
  </si>
  <si>
    <t>Versión: 0</t>
  </si>
  <si>
    <t>Lugar y fecha de emisión:</t>
  </si>
  <si>
    <t>DATOS GENERALES SOLICITANTE</t>
  </si>
  <si>
    <t>Solicitante:</t>
  </si>
  <si>
    <t>Dirección:</t>
  </si>
  <si>
    <t>Telefono:</t>
  </si>
  <si>
    <t>Correo:</t>
  </si>
  <si>
    <t>Municipio:</t>
  </si>
  <si>
    <t>Departamento:</t>
  </si>
  <si>
    <t>DATOS DE MUESTREO:</t>
  </si>
  <si>
    <t>Descripción de punto de toma de muestra:</t>
  </si>
  <si>
    <t>Dirección de punto de toma de muestra:</t>
  </si>
  <si>
    <t>Tipo de agua:</t>
  </si>
  <si>
    <t>Fuente de captación:</t>
  </si>
  <si>
    <t>Fecha de toma de muestra:</t>
  </si>
  <si>
    <t>Hora de toma de muestra:</t>
  </si>
  <si>
    <t>Tomada por:</t>
  </si>
  <si>
    <t>Desinfectante:</t>
  </si>
  <si>
    <t>Coagulante:</t>
  </si>
  <si>
    <t>Número de muestras:</t>
  </si>
  <si>
    <t xml:space="preserve">Temperatura:            </t>
  </si>
  <si>
    <t>Fecha  de análisis:</t>
  </si>
  <si>
    <t>Tipo de análisis solicitado:  Fisicoquímico ___  Microbiologico___ Otros ______________________________</t>
  </si>
  <si>
    <t xml:space="preserve">RESULTADOS </t>
  </si>
  <si>
    <t>PARAMETROS</t>
  </si>
  <si>
    <t>METODOS</t>
  </si>
  <si>
    <t>UNIDAD</t>
  </si>
  <si>
    <t>SEGÚN RES. 2115 DE 2007</t>
  </si>
  <si>
    <t>RESULTADO</t>
  </si>
  <si>
    <t>PUNTAJE DE RIESGO</t>
  </si>
  <si>
    <t>SE REALIZO MEDICIÓN</t>
  </si>
  <si>
    <t>CODE</t>
  </si>
  <si>
    <t>CONCEPTO</t>
  </si>
  <si>
    <t>RIESGO</t>
  </si>
  <si>
    <t>VALOR ACEPTABLE</t>
  </si>
  <si>
    <t>FISICOS Y ORGANOLEPTICOS</t>
  </si>
  <si>
    <t xml:space="preserve">Color </t>
  </si>
  <si>
    <t>Espectrofotométrico</t>
  </si>
  <si>
    <t>UPC</t>
  </si>
  <si>
    <t>Turbiedad</t>
  </si>
  <si>
    <t>NefelométricO</t>
  </si>
  <si>
    <t>NTU</t>
  </si>
  <si>
    <t>Olor y Sabor</t>
  </si>
  <si>
    <t>NA</t>
  </si>
  <si>
    <t>No Aplica</t>
  </si>
  <si>
    <t>Aceptable</t>
  </si>
  <si>
    <t>Conductividad</t>
  </si>
  <si>
    <t>Electrométrico</t>
  </si>
  <si>
    <t>µs/cm</t>
  </si>
  <si>
    <t>QUÍMICOS</t>
  </si>
  <si>
    <t>Alcalinidad Total</t>
  </si>
  <si>
    <t>Volumétrica</t>
  </si>
  <si>
    <t>mg/L</t>
  </si>
  <si>
    <t>Aluminio</t>
  </si>
  <si>
    <t>Fotométrico</t>
  </si>
  <si>
    <t>Calcio</t>
  </si>
  <si>
    <t>Cloro residual libre</t>
  </si>
  <si>
    <t>0,3 - 2,0</t>
  </si>
  <si>
    <t>Dureza Total</t>
  </si>
  <si>
    <t>Cloruros</t>
  </si>
  <si>
    <t>Nitritos</t>
  </si>
  <si>
    <t>Nitratos</t>
  </si>
  <si>
    <t>Hierro Total</t>
  </si>
  <si>
    <t>pH</t>
  </si>
  <si>
    <t>Potenciométrico</t>
  </si>
  <si>
    <t>Unidad de pH</t>
  </si>
  <si>
    <t>Sulfatos</t>
  </si>
  <si>
    <t>Fosfatos</t>
  </si>
  <si>
    <t>Fluoruros</t>
  </si>
  <si>
    <t>Manganeso</t>
  </si>
  <si>
    <t>Molibdeno</t>
  </si>
  <si>
    <t>Magnesio</t>
  </si>
  <si>
    <t>Zinc</t>
  </si>
  <si>
    <t>COT</t>
  </si>
  <si>
    <t>MICROBIOLOGICOS</t>
  </si>
  <si>
    <t>Coliformes Totales</t>
  </si>
  <si>
    <t>Presencia/ Ausencia</t>
  </si>
  <si>
    <t>Ausencia</t>
  </si>
  <si>
    <t>E. Coli</t>
  </si>
  <si>
    <t xml:space="preserve">______________________________________________                                                                           Profesional de Apoyo Laboratorio Móvil                                                                                                           Dirección de Aseguramiento de la prestación                                                              </t>
  </si>
  <si>
    <t>INDICE DE RIESGO DE CALIDAD DEL AGUA -IRCA</t>
  </si>
  <si>
    <t>∑ puntajes de riesgos</t>
  </si>
  <si>
    <t>∑ parametros analizados</t>
  </si>
  <si>
    <t>%IRCA</t>
  </si>
  <si>
    <t>Nivel de riesgo</t>
  </si>
  <si>
    <t>OTROS</t>
  </si>
  <si>
    <t>Código: AS-F411</t>
  </si>
  <si>
    <t>Fecha: 05/03/2021</t>
  </si>
  <si>
    <t>≤15</t>
  </si>
  <si>
    <t>≤2</t>
  </si>
  <si>
    <t>≤1000</t>
  </si>
  <si>
    <t>≤200</t>
  </si>
  <si>
    <t>≤0,2</t>
  </si>
  <si>
    <t>≤60</t>
  </si>
  <si>
    <r>
      <t>6,5 -</t>
    </r>
    <r>
      <rPr>
        <sz val="11"/>
        <color theme="1"/>
        <rFont val="Calibri"/>
        <family val="2"/>
      </rPr>
      <t xml:space="preserve"> 9,0</t>
    </r>
  </si>
  <si>
    <t>≤0,1</t>
  </si>
  <si>
    <t>≤250</t>
  </si>
  <si>
    <t>≤300</t>
  </si>
  <si>
    <t>≤10</t>
  </si>
  <si>
    <t>≤0,3</t>
  </si>
  <si>
    <t>≤0,5</t>
  </si>
  <si>
    <t>≤1</t>
  </si>
  <si>
    <t>≤0,07</t>
  </si>
  <si>
    <t>≤36</t>
  </si>
  <si>
    <t>≤3</t>
  </si>
  <si>
    <t>≤5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</si>
</sst>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0" fillId="0" borderId="7" xfId="0" applyBorder="1"/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0" fillId="0" borderId="7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7" xfId="0" applyFont="1" applyFill="1" applyBorder="1" applyAlignment="1"/>
    <xf numFmtId="0" fontId="1" fillId="5" borderId="8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419101</xdr:colOff>
      <xdr:row>0</xdr:row>
      <xdr:rowOff>0</xdr:rowOff>
    </xdr:from>
    <xdr:to>
      <xdr:col>0</xdr:col>
      <xdr:colOff>1219200</xdr:colOff>
      <xdr:row>2</xdr:row>
      <xdr:rowOff>179699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FD9AF4-B64C-4296-BCE1-F2F1CA5F9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1" y="0"/>
          <a:ext cx="800099" cy="56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BD753-FF8E-4234-842A-2B587B33D93F}">
  <dimension ref="A1:L59"/>
  <sheetViews>
    <sheetView tabSelected="1" zoomScaleNormal="100" workbookViewId="0">
      <selection activeCell="G32" sqref="G32"/>
    </sheetView>
  </sheetViews>
  <sheetFormatPr baseColWidth="10" defaultRowHeight="15" x14ac:dyDescent="0.25"/>
  <cols>
    <col min="1" max="1" width="18.85546875" customWidth="1"/>
    <col min="3" max="3" width="19.5703125" customWidth="1"/>
    <col min="4" max="4" width="16.140625" customWidth="1"/>
    <col min="7" max="8" width="13.5703125" customWidth="1"/>
    <col min="9" max="9" width="10.5703125" customWidth="1"/>
    <col min="10" max="10" width="7" customWidth="1"/>
    <col min="12" max="12" width="3.42578125" customWidth="1"/>
  </cols>
  <sheetData>
    <row r="1" spans="1:12" x14ac:dyDescent="0.25">
      <c r="A1" s="80"/>
      <c r="B1" s="81"/>
      <c r="C1" s="82" t="s">
        <v>0</v>
      </c>
      <c r="D1" s="83"/>
      <c r="E1" s="83"/>
      <c r="F1" s="83"/>
      <c r="G1" s="83"/>
      <c r="H1" s="84" t="s">
        <v>87</v>
      </c>
      <c r="I1" s="85"/>
      <c r="J1" s="85"/>
      <c r="K1" s="85"/>
      <c r="L1" s="86"/>
    </row>
    <row r="2" spans="1:12" x14ac:dyDescent="0.25">
      <c r="A2" s="47"/>
      <c r="B2" s="19"/>
      <c r="C2" s="31"/>
      <c r="D2" s="31"/>
      <c r="E2" s="31"/>
      <c r="F2" s="31"/>
      <c r="G2" s="31"/>
      <c r="H2" s="73" t="s">
        <v>1</v>
      </c>
      <c r="I2" s="65"/>
      <c r="J2" s="65"/>
      <c r="K2" s="65"/>
      <c r="L2" s="66"/>
    </row>
    <row r="3" spans="1:12" x14ac:dyDescent="0.25">
      <c r="A3" s="47"/>
      <c r="B3" s="19"/>
      <c r="C3" s="31"/>
      <c r="D3" s="31"/>
      <c r="E3" s="31"/>
      <c r="F3" s="31"/>
      <c r="G3" s="31"/>
      <c r="H3" s="73" t="s">
        <v>88</v>
      </c>
      <c r="I3" s="65"/>
      <c r="J3" s="65"/>
      <c r="K3" s="65"/>
      <c r="L3" s="66"/>
    </row>
    <row r="4" spans="1:12" x14ac:dyDescent="0.25">
      <c r="A4" s="87"/>
      <c r="B4" s="27"/>
      <c r="C4" s="27"/>
      <c r="D4" s="27"/>
      <c r="E4" s="27"/>
      <c r="F4" s="27"/>
      <c r="G4" s="27"/>
      <c r="H4" s="27"/>
      <c r="I4" s="27"/>
      <c r="J4" s="27"/>
      <c r="K4" s="27"/>
      <c r="L4" s="28"/>
    </row>
    <row r="5" spans="1:12" x14ac:dyDescent="0.25">
      <c r="A5" s="88"/>
      <c r="B5" s="89"/>
      <c r="C5" s="89"/>
      <c r="D5" s="89"/>
      <c r="E5" s="89"/>
      <c r="F5" s="89"/>
      <c r="G5" s="89"/>
      <c r="H5" s="89"/>
      <c r="I5" s="89"/>
      <c r="J5" s="89"/>
      <c r="K5" s="89"/>
      <c r="L5" s="90"/>
    </row>
    <row r="6" spans="1:12" x14ac:dyDescent="0.25">
      <c r="A6" s="47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</row>
    <row r="7" spans="1:12" x14ac:dyDescent="0.25">
      <c r="A7" s="74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6"/>
    </row>
    <row r="8" spans="1:12" x14ac:dyDescent="0.25">
      <c r="A8" s="59" t="s">
        <v>4</v>
      </c>
      <c r="B8" s="60"/>
      <c r="C8" s="60"/>
      <c r="D8" s="60"/>
      <c r="E8" s="60" t="s">
        <v>5</v>
      </c>
      <c r="F8" s="60"/>
      <c r="G8" s="60"/>
      <c r="H8" s="60"/>
      <c r="I8" s="60"/>
      <c r="J8" s="60"/>
      <c r="K8" s="60"/>
      <c r="L8" s="72"/>
    </row>
    <row r="9" spans="1:12" x14ac:dyDescent="0.25">
      <c r="A9" s="59" t="s">
        <v>6</v>
      </c>
      <c r="B9" s="60"/>
      <c r="C9" s="60"/>
      <c r="D9" s="60"/>
      <c r="E9" s="60" t="s">
        <v>7</v>
      </c>
      <c r="F9" s="60"/>
      <c r="G9" s="60"/>
      <c r="H9" s="60"/>
      <c r="I9" s="60"/>
      <c r="J9" s="60"/>
      <c r="K9" s="60"/>
      <c r="L9" s="72"/>
    </row>
    <row r="10" spans="1:12" x14ac:dyDescent="0.25">
      <c r="A10" s="59" t="s">
        <v>8</v>
      </c>
      <c r="B10" s="60"/>
      <c r="C10" s="60"/>
      <c r="D10" s="60"/>
      <c r="E10" s="60" t="s">
        <v>9</v>
      </c>
      <c r="F10" s="60"/>
      <c r="G10" s="60"/>
      <c r="H10" s="60"/>
      <c r="I10" s="60"/>
      <c r="J10" s="60"/>
      <c r="K10" s="60"/>
      <c r="L10" s="72"/>
    </row>
    <row r="11" spans="1:12" x14ac:dyDescent="0.25">
      <c r="A11" s="74" t="s">
        <v>10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6"/>
    </row>
    <row r="12" spans="1:12" x14ac:dyDescent="0.25">
      <c r="A12" s="77" t="s">
        <v>11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9"/>
    </row>
    <row r="13" spans="1:12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9"/>
    </row>
    <row r="14" spans="1:12" x14ac:dyDescent="0.25">
      <c r="A14" s="59" t="s">
        <v>12</v>
      </c>
      <c r="B14" s="60"/>
      <c r="C14" s="60"/>
      <c r="D14" s="60"/>
      <c r="E14" s="60"/>
      <c r="F14" s="60"/>
      <c r="G14" s="60" t="s">
        <v>13</v>
      </c>
      <c r="H14" s="60"/>
      <c r="I14" s="60"/>
      <c r="J14" s="60"/>
      <c r="K14" s="60"/>
      <c r="L14" s="72"/>
    </row>
    <row r="15" spans="1:12" ht="14.25" customHeight="1" x14ac:dyDescent="0.25">
      <c r="A15" s="59" t="s">
        <v>14</v>
      </c>
      <c r="B15" s="60"/>
      <c r="C15" s="60"/>
      <c r="D15" s="60"/>
      <c r="E15" s="60"/>
      <c r="F15" s="60" t="s">
        <v>15</v>
      </c>
      <c r="G15" s="60"/>
      <c r="H15" s="60"/>
      <c r="I15" s="60"/>
      <c r="J15" s="60"/>
      <c r="K15" s="60"/>
      <c r="L15" s="72"/>
    </row>
    <row r="16" spans="1:12" hidden="1" x14ac:dyDescent="0.25">
      <c r="A16" s="59" t="s">
        <v>16</v>
      </c>
      <c r="B16" s="60"/>
      <c r="C16" s="60"/>
      <c r="D16" s="60"/>
      <c r="E16" s="60"/>
      <c r="F16" s="60" t="s">
        <v>17</v>
      </c>
      <c r="G16" s="60"/>
      <c r="H16" s="60"/>
      <c r="I16" s="60"/>
      <c r="J16" s="60"/>
      <c r="K16" s="60"/>
      <c r="L16" s="72"/>
    </row>
    <row r="17" spans="1:12" ht="32.25" customHeight="1" x14ac:dyDescent="0.25">
      <c r="A17" s="91" t="s">
        <v>18</v>
      </c>
      <c r="B17" s="92"/>
      <c r="C17" s="93"/>
      <c r="D17" s="94" t="s">
        <v>19</v>
      </c>
      <c r="E17" s="95"/>
      <c r="F17" s="94" t="s">
        <v>20</v>
      </c>
      <c r="G17" s="96"/>
      <c r="H17" s="95"/>
      <c r="I17" s="94" t="s">
        <v>21</v>
      </c>
      <c r="J17" s="96"/>
      <c r="K17" s="96"/>
      <c r="L17" s="97"/>
    </row>
    <row r="18" spans="1:12" x14ac:dyDescent="0.25">
      <c r="A18" s="53" t="s">
        <v>22</v>
      </c>
      <c r="B18" s="65"/>
      <c r="C18" s="65" t="s">
        <v>23</v>
      </c>
      <c r="D18" s="65"/>
      <c r="E18" s="65"/>
      <c r="F18" s="65"/>
      <c r="G18" s="65"/>
      <c r="H18" s="65"/>
      <c r="I18" s="65"/>
      <c r="J18" s="65"/>
      <c r="K18" s="65"/>
      <c r="L18" s="66"/>
    </row>
    <row r="19" spans="1:12" x14ac:dyDescent="0.25">
      <c r="A19" s="67" t="s">
        <v>24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9"/>
    </row>
    <row r="20" spans="1:12" ht="15" customHeight="1" x14ac:dyDescent="0.25">
      <c r="A20" s="70" t="s">
        <v>25</v>
      </c>
      <c r="B20" s="63"/>
      <c r="C20" s="63" t="s">
        <v>26</v>
      </c>
      <c r="D20" s="63" t="s">
        <v>27</v>
      </c>
      <c r="E20" s="71" t="s">
        <v>28</v>
      </c>
      <c r="F20" s="71"/>
      <c r="G20" s="63" t="s">
        <v>29</v>
      </c>
      <c r="H20" s="61" t="s">
        <v>30</v>
      </c>
      <c r="I20" s="61" t="s">
        <v>31</v>
      </c>
      <c r="J20" s="61" t="s">
        <v>32</v>
      </c>
      <c r="K20" s="63" t="s">
        <v>33</v>
      </c>
      <c r="L20" s="64"/>
    </row>
    <row r="21" spans="1:12" ht="30" x14ac:dyDescent="0.25">
      <c r="A21" s="70"/>
      <c r="B21" s="63"/>
      <c r="C21" s="63"/>
      <c r="D21" s="63"/>
      <c r="E21" s="1" t="s">
        <v>34</v>
      </c>
      <c r="F21" s="2" t="s">
        <v>35</v>
      </c>
      <c r="G21" s="63"/>
      <c r="H21" s="62"/>
      <c r="I21" s="62"/>
      <c r="J21" s="62"/>
      <c r="K21" s="63"/>
      <c r="L21" s="64"/>
    </row>
    <row r="22" spans="1:12" x14ac:dyDescent="0.25">
      <c r="A22" s="55" t="s">
        <v>36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7"/>
    </row>
    <row r="23" spans="1:12" x14ac:dyDescent="0.25">
      <c r="A23" s="59" t="s">
        <v>37</v>
      </c>
      <c r="B23" s="60"/>
      <c r="C23" s="3" t="s">
        <v>38</v>
      </c>
      <c r="D23" s="4" t="s">
        <v>39</v>
      </c>
      <c r="E23" s="5">
        <v>6</v>
      </c>
      <c r="F23" s="5" t="s">
        <v>89</v>
      </c>
      <c r="G23" s="3"/>
      <c r="H23" s="6">
        <f>IF(G23="",0,(IF( G23="","",IF(G23&lt;15.01,"0",E23))))</f>
        <v>0</v>
      </c>
      <c r="I23" s="6" t="str">
        <f>IF(G23="","NO","SI")</f>
        <v>NO</v>
      </c>
      <c r="J23" s="6">
        <f>IF(I23="SI",E23,0)</f>
        <v>0</v>
      </c>
      <c r="K23" s="19" t="str">
        <f>IF(G23="","",IF(G23&gt;15, "No Aceptable", "Aceptable"))</f>
        <v/>
      </c>
      <c r="L23" s="20"/>
    </row>
    <row r="24" spans="1:12" x14ac:dyDescent="0.25">
      <c r="A24" s="59" t="s">
        <v>40</v>
      </c>
      <c r="B24" s="60"/>
      <c r="C24" s="3" t="s">
        <v>41</v>
      </c>
      <c r="D24" s="7" t="s">
        <v>42</v>
      </c>
      <c r="E24" s="5">
        <v>15</v>
      </c>
      <c r="F24" s="5" t="s">
        <v>90</v>
      </c>
      <c r="G24" s="3"/>
      <c r="H24" s="6">
        <f>IF(G24="",0,(IF( G24="","",IF(G24&lt;2.01,"0",E24))))</f>
        <v>0</v>
      </c>
      <c r="I24" s="6" t="str">
        <f t="shared" ref="I24:I25" si="0">IF(G24="","NO","SI")</f>
        <v>NO</v>
      </c>
      <c r="J24" s="6">
        <f>IF(I24="SI",E24,0)</f>
        <v>0</v>
      </c>
      <c r="K24" s="19" t="str">
        <f>IF(G24="","",IF(G24&gt;2, "No Aceptable", "Aceptable"))</f>
        <v/>
      </c>
      <c r="L24" s="20"/>
    </row>
    <row r="25" spans="1:12" x14ac:dyDescent="0.25">
      <c r="A25" s="59" t="s">
        <v>43</v>
      </c>
      <c r="B25" s="60"/>
      <c r="C25" s="3" t="s">
        <v>44</v>
      </c>
      <c r="D25" s="7" t="s">
        <v>45</v>
      </c>
      <c r="E25" s="5">
        <v>0</v>
      </c>
      <c r="F25" s="5" t="s">
        <v>46</v>
      </c>
      <c r="G25" s="3"/>
      <c r="H25" s="3"/>
      <c r="I25" s="6" t="str">
        <f t="shared" si="0"/>
        <v>NO</v>
      </c>
      <c r="J25" s="6" t="s">
        <v>44</v>
      </c>
      <c r="K25" s="19"/>
      <c r="L25" s="20"/>
    </row>
    <row r="26" spans="1:12" x14ac:dyDescent="0.25">
      <c r="A26" s="59" t="s">
        <v>47</v>
      </c>
      <c r="B26" s="60"/>
      <c r="C26" s="7" t="s">
        <v>48</v>
      </c>
      <c r="D26" s="8" t="s">
        <v>49</v>
      </c>
      <c r="E26" s="5">
        <v>0</v>
      </c>
      <c r="F26" s="5" t="s">
        <v>91</v>
      </c>
      <c r="G26" s="3"/>
      <c r="H26" s="5">
        <f>IF(G26="",0,(IF( G24="","",IF(G24&lt;1000.01,"0",F24))))</f>
        <v>0</v>
      </c>
      <c r="I26" s="6" t="str">
        <f>IF(G26="","NO","SI")</f>
        <v>NO</v>
      </c>
      <c r="J26" s="6" t="s">
        <v>44</v>
      </c>
      <c r="K26" s="19" t="str">
        <f>IF(G26="","",IF(G26&gt;1000, "No Aceptable", "Aceptable"))</f>
        <v/>
      </c>
      <c r="L26" s="20"/>
    </row>
    <row r="27" spans="1:12" x14ac:dyDescent="0.25">
      <c r="A27" s="55" t="s">
        <v>50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12" x14ac:dyDescent="0.25">
      <c r="A28" s="53" t="s">
        <v>51</v>
      </c>
      <c r="B28" s="54"/>
      <c r="C28" s="3" t="s">
        <v>52</v>
      </c>
      <c r="D28" s="8" t="s">
        <v>53</v>
      </c>
      <c r="E28" s="5">
        <v>1</v>
      </c>
      <c r="F28" s="5" t="s">
        <v>92</v>
      </c>
      <c r="G28" s="3"/>
      <c r="H28" s="5">
        <f>IF(G28="",0,IF(G26="",0,IF(G28="","",IF(G28&lt;200.01,"0",E28))))</f>
        <v>0</v>
      </c>
      <c r="I28" s="5" t="str">
        <f>IF(G28="","NO","SI")</f>
        <v>NO</v>
      </c>
      <c r="J28" s="5">
        <f>IF(I28="SI",E28,0)</f>
        <v>0</v>
      </c>
      <c r="K28" s="19" t="str">
        <f>IF(G28="","",IF(G28&gt;200, "No Aceptable", "Aceptable"))</f>
        <v/>
      </c>
      <c r="L28" s="20"/>
    </row>
    <row r="29" spans="1:12" x14ac:dyDescent="0.25">
      <c r="A29" s="53" t="s">
        <v>54</v>
      </c>
      <c r="B29" s="54"/>
      <c r="C29" s="3" t="s">
        <v>55</v>
      </c>
      <c r="D29" s="8" t="s">
        <v>53</v>
      </c>
      <c r="E29" s="5">
        <v>3</v>
      </c>
      <c r="F29" s="5" t="s">
        <v>93</v>
      </c>
      <c r="G29" s="3"/>
      <c r="H29" s="5">
        <f>IF(G29="",0,IF( G29="","",IF(G29&lt;0.201,"0",E29)))</f>
        <v>0</v>
      </c>
      <c r="I29" s="5" t="str">
        <f t="shared" ref="I29:I44" si="1">IF(G29="","NO","SI")</f>
        <v>NO</v>
      </c>
      <c r="J29" s="5">
        <f t="shared" ref="J29:J45" si="2">IF(I29="SI",E29,0)</f>
        <v>0</v>
      </c>
      <c r="K29" s="19" t="str">
        <f>IF(G29="","",IF(G29&gt;0.2, "No Aceptable", "Aceptable"))</f>
        <v/>
      </c>
      <c r="L29" s="20"/>
    </row>
    <row r="30" spans="1:12" x14ac:dyDescent="0.25">
      <c r="A30" s="53" t="s">
        <v>56</v>
      </c>
      <c r="B30" s="54"/>
      <c r="C30" s="3" t="s">
        <v>55</v>
      </c>
      <c r="D30" s="9" t="s">
        <v>53</v>
      </c>
      <c r="E30" s="5">
        <v>1</v>
      </c>
      <c r="F30" s="5" t="s">
        <v>94</v>
      </c>
      <c r="G30" s="3"/>
      <c r="H30" s="5">
        <f>IF(G30="",0,IF( G30="","",IF(G30&lt;60.01,"0",E30)))</f>
        <v>0</v>
      </c>
      <c r="I30" s="5" t="str">
        <f t="shared" si="1"/>
        <v>NO</v>
      </c>
      <c r="J30" s="5">
        <f t="shared" si="2"/>
        <v>0</v>
      </c>
      <c r="K30" s="19" t="str">
        <f>IF(G30="","",IF(G30&gt;60, "No Aceptable", "Aceptable"))</f>
        <v/>
      </c>
      <c r="L30" s="20"/>
    </row>
    <row r="31" spans="1:12" x14ac:dyDescent="0.25">
      <c r="A31" s="53" t="s">
        <v>57</v>
      </c>
      <c r="B31" s="54"/>
      <c r="C31" s="3" t="s">
        <v>55</v>
      </c>
      <c r="D31" s="9" t="s">
        <v>53</v>
      </c>
      <c r="E31" s="5">
        <v>15</v>
      </c>
      <c r="F31" s="5" t="s">
        <v>58</v>
      </c>
      <c r="G31" s="3"/>
      <c r="H31" s="5">
        <f>IF(G31="",0,IF( G31="","",IF(G31&lt;0.299,E31,IF(G31&gt;2,E31,0))))</f>
        <v>0</v>
      </c>
      <c r="I31" s="5" t="str">
        <f t="shared" si="1"/>
        <v>NO</v>
      </c>
      <c r="J31" s="5">
        <f t="shared" si="2"/>
        <v>0</v>
      </c>
      <c r="K31" s="19" t="str">
        <f>IF(G31="","",IF(G31&lt;0.3, "No Aceptable", IF(G31&lt;2,"Aceptable", "No aceptable")))</f>
        <v/>
      </c>
      <c r="L31" s="20"/>
    </row>
    <row r="32" spans="1:12" x14ac:dyDescent="0.25">
      <c r="A32" s="53" t="s">
        <v>59</v>
      </c>
      <c r="B32" s="54"/>
      <c r="C32" s="3" t="s">
        <v>55</v>
      </c>
      <c r="D32" s="9" t="s">
        <v>53</v>
      </c>
      <c r="E32" s="5">
        <v>1</v>
      </c>
      <c r="F32" s="5" t="s">
        <v>98</v>
      </c>
      <c r="G32" s="3"/>
      <c r="H32" s="5">
        <f>IF(G32="",0,IF( G32="","",IF(G32&lt;300.01,"0",E32)))</f>
        <v>0</v>
      </c>
      <c r="I32" s="5" t="str">
        <f t="shared" si="1"/>
        <v>NO</v>
      </c>
      <c r="J32" s="5">
        <f t="shared" si="2"/>
        <v>0</v>
      </c>
      <c r="K32" s="19" t="str">
        <f>IF(G32="","",IF(G32&gt;300, "No Aceptable", "Aceptable"))</f>
        <v/>
      </c>
      <c r="L32" s="20"/>
    </row>
    <row r="33" spans="1:12" x14ac:dyDescent="0.25">
      <c r="A33" s="53" t="s">
        <v>60</v>
      </c>
      <c r="B33" s="54"/>
      <c r="C33" s="3" t="s">
        <v>55</v>
      </c>
      <c r="D33" s="9" t="s">
        <v>53</v>
      </c>
      <c r="E33" s="5">
        <v>1</v>
      </c>
      <c r="F33" s="5" t="s">
        <v>97</v>
      </c>
      <c r="G33" s="3"/>
      <c r="H33" s="5">
        <f>IF(G33="",0,IF( G33="","",IF(G33&lt;250.01,"0",E33)))</f>
        <v>0</v>
      </c>
      <c r="I33" s="5" t="str">
        <f t="shared" si="1"/>
        <v>NO</v>
      </c>
      <c r="J33" s="5">
        <f t="shared" si="2"/>
        <v>0</v>
      </c>
      <c r="K33" s="19" t="str">
        <f>IF(G33="","",IF(G33&gt;250, "No Aceptable", "Aceptable"))</f>
        <v/>
      </c>
      <c r="L33" s="20"/>
    </row>
    <row r="34" spans="1:12" x14ac:dyDescent="0.25">
      <c r="A34" s="53" t="s">
        <v>61</v>
      </c>
      <c r="B34" s="54"/>
      <c r="C34" s="3" t="s">
        <v>55</v>
      </c>
      <c r="D34" s="9" t="s">
        <v>53</v>
      </c>
      <c r="E34" s="5">
        <v>3</v>
      </c>
      <c r="F34" s="5" t="s">
        <v>96</v>
      </c>
      <c r="G34" s="3"/>
      <c r="H34" s="5">
        <f>IF(G34="",0,IF( G34="","",IF(G34&lt;0.101,"0",E34)))</f>
        <v>0</v>
      </c>
      <c r="I34" s="5" t="str">
        <f t="shared" si="1"/>
        <v>NO</v>
      </c>
      <c r="J34" s="5">
        <f t="shared" si="2"/>
        <v>0</v>
      </c>
      <c r="K34" s="19" t="str">
        <f>IF(G34="","",IF(G34&gt;0.1, "No Aceptable", "Aceptable"))</f>
        <v/>
      </c>
      <c r="L34" s="20"/>
    </row>
    <row r="35" spans="1:12" x14ac:dyDescent="0.25">
      <c r="A35" s="53" t="s">
        <v>62</v>
      </c>
      <c r="B35" s="54"/>
      <c r="C35" s="3" t="s">
        <v>55</v>
      </c>
      <c r="D35" s="9" t="s">
        <v>53</v>
      </c>
      <c r="E35" s="5">
        <v>1</v>
      </c>
      <c r="F35" s="5" t="s">
        <v>99</v>
      </c>
      <c r="G35" s="3"/>
      <c r="H35" s="5">
        <f>IF(G35="",0,IF( G35="","",IF(G35&lt;10.01,"0",E35)))</f>
        <v>0</v>
      </c>
      <c r="I35" s="5" t="str">
        <f t="shared" si="1"/>
        <v>NO</v>
      </c>
      <c r="J35" s="5">
        <f t="shared" si="2"/>
        <v>0</v>
      </c>
      <c r="K35" s="19" t="str">
        <f>IF(G35="","",IF(G35&gt;10, "No Aceptable", "Aceptable"))</f>
        <v/>
      </c>
      <c r="L35" s="20"/>
    </row>
    <row r="36" spans="1:12" x14ac:dyDescent="0.25">
      <c r="A36" s="53" t="s">
        <v>63</v>
      </c>
      <c r="B36" s="54"/>
      <c r="C36" s="3" t="s">
        <v>55</v>
      </c>
      <c r="D36" s="9" t="s">
        <v>53</v>
      </c>
      <c r="E36" s="5">
        <v>1.5</v>
      </c>
      <c r="F36" s="5" t="s">
        <v>100</v>
      </c>
      <c r="G36" s="3"/>
      <c r="H36" s="5">
        <f>IF(G36="",0,IF( G36="","",IF(G36&lt;0.301,"0",E36)))</f>
        <v>0</v>
      </c>
      <c r="I36" s="5" t="str">
        <f t="shared" si="1"/>
        <v>NO</v>
      </c>
      <c r="J36" s="5">
        <f t="shared" si="2"/>
        <v>0</v>
      </c>
      <c r="K36" s="19" t="str">
        <f>IF(G36="","",IF(G36&gt;0.3, "No Aceptable", "Aceptable"))</f>
        <v/>
      </c>
      <c r="L36" s="20"/>
    </row>
    <row r="37" spans="1:12" x14ac:dyDescent="0.25">
      <c r="A37" s="53" t="s">
        <v>64</v>
      </c>
      <c r="B37" s="54"/>
      <c r="C37" s="3" t="s">
        <v>65</v>
      </c>
      <c r="D37" s="9" t="s">
        <v>66</v>
      </c>
      <c r="E37" s="5">
        <v>1.5</v>
      </c>
      <c r="F37" s="18" t="s">
        <v>95</v>
      </c>
      <c r="G37" s="3"/>
      <c r="H37" s="5">
        <f>IF(G37="",0,IF( G37="","",IF(G37&lt;6.499,E37, IF(G37&gt;9,E37,0))))</f>
        <v>0</v>
      </c>
      <c r="I37" s="5" t="str">
        <f t="shared" si="1"/>
        <v>NO</v>
      </c>
      <c r="J37" s="5">
        <f t="shared" si="2"/>
        <v>0</v>
      </c>
      <c r="K37" s="19" t="str">
        <f>IF(G37="","",IF(G37&lt;6.5, "No Aceptable", IF(G37&gt;9, "No aceptable","Aceptable")))</f>
        <v/>
      </c>
      <c r="L37" s="20"/>
    </row>
    <row r="38" spans="1:12" x14ac:dyDescent="0.25">
      <c r="A38" s="53" t="s">
        <v>67</v>
      </c>
      <c r="B38" s="54"/>
      <c r="C38" s="3" t="s">
        <v>55</v>
      </c>
      <c r="D38" s="9" t="s">
        <v>53</v>
      </c>
      <c r="E38" s="5">
        <v>1</v>
      </c>
      <c r="F38" s="5" t="s">
        <v>97</v>
      </c>
      <c r="G38" s="3"/>
      <c r="H38" s="5">
        <f>IF(G38="",0,IF( G38="","",IF(G38&lt;250.01,"0",E38)))</f>
        <v>0</v>
      </c>
      <c r="I38" s="5" t="str">
        <f t="shared" si="1"/>
        <v>NO</v>
      </c>
      <c r="J38" s="5">
        <f t="shared" si="2"/>
        <v>0</v>
      </c>
      <c r="K38" s="19" t="str">
        <f>IF(G38="","",IF(G38&gt;250, "No Aceptable", "Aceptable"))</f>
        <v/>
      </c>
      <c r="L38" s="20"/>
    </row>
    <row r="39" spans="1:12" x14ac:dyDescent="0.25">
      <c r="A39" s="53" t="s">
        <v>68</v>
      </c>
      <c r="B39" s="54"/>
      <c r="C39" s="3" t="s">
        <v>55</v>
      </c>
      <c r="D39" s="9" t="s">
        <v>53</v>
      </c>
      <c r="E39" s="5">
        <v>1</v>
      </c>
      <c r="F39" s="5" t="s">
        <v>101</v>
      </c>
      <c r="G39" s="3"/>
      <c r="H39" s="5">
        <f>IF(G39="",0,IF(G26="",0,IF( G39="","",IF(G39&lt;0.501,"0",E39))))</f>
        <v>0</v>
      </c>
      <c r="I39" s="5" t="str">
        <f t="shared" si="1"/>
        <v>NO</v>
      </c>
      <c r="J39" s="5">
        <f t="shared" si="2"/>
        <v>0</v>
      </c>
      <c r="K39" s="19" t="str">
        <f>IF(G39="","",IF(G39&gt;0.5, "No Aceptable", "Aceptable"))</f>
        <v/>
      </c>
      <c r="L39" s="20"/>
    </row>
    <row r="40" spans="1:12" x14ac:dyDescent="0.25">
      <c r="A40" s="53" t="s">
        <v>69</v>
      </c>
      <c r="B40" s="54"/>
      <c r="C40" s="3" t="s">
        <v>55</v>
      </c>
      <c r="D40" s="9" t="s">
        <v>53</v>
      </c>
      <c r="E40" s="5">
        <v>1</v>
      </c>
      <c r="F40" s="5" t="s">
        <v>102</v>
      </c>
      <c r="G40" s="3"/>
      <c r="H40" s="5">
        <f>IF(G40="",0,IF( G40="","",IF(G40&lt;1.01,"0",E40)))</f>
        <v>0</v>
      </c>
      <c r="I40" s="5" t="str">
        <f t="shared" si="1"/>
        <v>NO</v>
      </c>
      <c r="J40" s="5">
        <f t="shared" si="2"/>
        <v>0</v>
      </c>
      <c r="K40" s="19" t="str">
        <f>IF(G40="","",IF(G40&gt;1, "No Aceptable", "Aceptable"))</f>
        <v/>
      </c>
      <c r="L40" s="20"/>
    </row>
    <row r="41" spans="1:12" x14ac:dyDescent="0.25">
      <c r="A41" s="53" t="s">
        <v>70</v>
      </c>
      <c r="B41" s="54"/>
      <c r="C41" s="3" t="s">
        <v>55</v>
      </c>
      <c r="D41" s="9" t="s">
        <v>53</v>
      </c>
      <c r="E41" s="5">
        <v>1</v>
      </c>
      <c r="F41" s="5" t="s">
        <v>96</v>
      </c>
      <c r="G41" s="3"/>
      <c r="H41" s="5">
        <f>IF(G41="",0,IF( G41="","",IF(G41&lt;0.101,"0",E41)))</f>
        <v>0</v>
      </c>
      <c r="I41" s="5" t="str">
        <f t="shared" si="1"/>
        <v>NO</v>
      </c>
      <c r="J41" s="5">
        <f t="shared" si="2"/>
        <v>0</v>
      </c>
      <c r="K41" s="19" t="str">
        <f>IF(G41="","",IF(G41&gt;0.1, "No Aceptable", "Aceptable"))</f>
        <v/>
      </c>
      <c r="L41" s="20"/>
    </row>
    <row r="42" spans="1:12" x14ac:dyDescent="0.25">
      <c r="A42" s="53" t="s">
        <v>71</v>
      </c>
      <c r="B42" s="54"/>
      <c r="C42" s="3" t="s">
        <v>55</v>
      </c>
      <c r="D42" s="9" t="s">
        <v>53</v>
      </c>
      <c r="E42" s="5">
        <v>1</v>
      </c>
      <c r="F42" s="5" t="s">
        <v>103</v>
      </c>
      <c r="G42" s="3"/>
      <c r="H42" s="5">
        <f>IF(G42="",0,IF( G42="","",IF(G42&lt;0.0701,"0",E42)))</f>
        <v>0</v>
      </c>
      <c r="I42" s="5" t="str">
        <f t="shared" si="1"/>
        <v>NO</v>
      </c>
      <c r="J42" s="5">
        <f t="shared" si="2"/>
        <v>0</v>
      </c>
      <c r="K42" s="19" t="str">
        <f>IF(G42="","",IF(G42&gt;0.07, "No Aceptable", "Aceptable"))</f>
        <v/>
      </c>
      <c r="L42" s="20"/>
    </row>
    <row r="43" spans="1:12" x14ac:dyDescent="0.25">
      <c r="A43" s="53" t="s">
        <v>72</v>
      </c>
      <c r="B43" s="54"/>
      <c r="C43" s="3" t="s">
        <v>55</v>
      </c>
      <c r="D43" s="9" t="s">
        <v>53</v>
      </c>
      <c r="E43" s="5">
        <v>1</v>
      </c>
      <c r="F43" s="5" t="s">
        <v>104</v>
      </c>
      <c r="G43" s="3"/>
      <c r="H43" s="5">
        <f>IF(G43="",0,IF( G43="","",IF(G43&lt;36.01,"0",E43)))</f>
        <v>0</v>
      </c>
      <c r="I43" s="5" t="str">
        <f t="shared" si="1"/>
        <v>NO</v>
      </c>
      <c r="J43" s="5">
        <f t="shared" si="2"/>
        <v>0</v>
      </c>
      <c r="K43" s="19" t="str">
        <f>IF(G43="","",IF(G43&gt;36, "No Aceptable", "Aceptable"))</f>
        <v/>
      </c>
      <c r="L43" s="20"/>
    </row>
    <row r="44" spans="1:12" x14ac:dyDescent="0.25">
      <c r="A44" s="53" t="s">
        <v>73</v>
      </c>
      <c r="B44" s="54"/>
      <c r="C44" s="3" t="s">
        <v>55</v>
      </c>
      <c r="D44" s="9" t="s">
        <v>53</v>
      </c>
      <c r="E44" s="5">
        <v>1</v>
      </c>
      <c r="F44" s="5" t="s">
        <v>105</v>
      </c>
      <c r="G44" s="3"/>
      <c r="H44" s="5">
        <f>IF(G44="",0,IF( G44="","",IF(G44&lt;3.01,"0",E44)))</f>
        <v>0</v>
      </c>
      <c r="I44" s="5" t="str">
        <f t="shared" si="1"/>
        <v>NO</v>
      </c>
      <c r="J44" s="5">
        <f t="shared" si="2"/>
        <v>0</v>
      </c>
      <c r="K44" s="19" t="str">
        <f>IF(G44="","",IF(G44&gt;3, "No Aceptable", "Aceptable"))</f>
        <v/>
      </c>
      <c r="L44" s="20"/>
    </row>
    <row r="45" spans="1:12" x14ac:dyDescent="0.25">
      <c r="A45" s="53" t="s">
        <v>74</v>
      </c>
      <c r="B45" s="54"/>
      <c r="C45" s="3" t="s">
        <v>55</v>
      </c>
      <c r="D45" s="9" t="s">
        <v>53</v>
      </c>
      <c r="E45" s="5">
        <v>3</v>
      </c>
      <c r="F45" s="5" t="s">
        <v>106</v>
      </c>
      <c r="G45" s="3"/>
      <c r="H45" s="5">
        <f>IF(G45="",0,IF( G45="","",IF(G45&lt;5.01,"0",E45)))</f>
        <v>0</v>
      </c>
      <c r="I45" s="5" t="str">
        <f>IF(G45="","NO","SI")</f>
        <v>NO</v>
      </c>
      <c r="J45" s="5">
        <f t="shared" si="2"/>
        <v>0</v>
      </c>
      <c r="K45" s="19" t="str">
        <f>IF(G45="","",IF(G45&gt;5, "No Aceptable", "Aceptable"))</f>
        <v/>
      </c>
      <c r="L45" s="20"/>
    </row>
    <row r="46" spans="1:12" x14ac:dyDescent="0.25">
      <c r="A46" s="55" t="s">
        <v>75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7"/>
    </row>
    <row r="47" spans="1:12" x14ac:dyDescent="0.25">
      <c r="A47" s="58" t="s">
        <v>76</v>
      </c>
      <c r="B47" s="48"/>
      <c r="C47" s="48" t="s">
        <v>77</v>
      </c>
      <c r="D47" s="48" t="s">
        <v>45</v>
      </c>
      <c r="E47" s="48">
        <v>15</v>
      </c>
      <c r="F47" s="48" t="s">
        <v>78</v>
      </c>
      <c r="G47" s="48"/>
      <c r="H47" s="49">
        <f>IF(G47="",0,IF( G47="","",IF(G47= "Ausencia","0",E47)))</f>
        <v>0</v>
      </c>
      <c r="I47" s="49" t="str">
        <f>IF(G47="","NO","SI")</f>
        <v>NO</v>
      </c>
      <c r="J47" s="51">
        <f>IF(I47="SI",E47,0)</f>
        <v>0</v>
      </c>
      <c r="K47" s="19" t="str">
        <f>IF(G47="","",IF(G47="Ausencia", "Aceptable", "No Aceptable"))</f>
        <v/>
      </c>
      <c r="L47" s="20"/>
    </row>
    <row r="48" spans="1:12" x14ac:dyDescent="0.25">
      <c r="A48" s="58"/>
      <c r="B48" s="48"/>
      <c r="C48" s="48"/>
      <c r="D48" s="48"/>
      <c r="E48" s="48"/>
      <c r="F48" s="48"/>
      <c r="G48" s="48"/>
      <c r="H48" s="50"/>
      <c r="I48" s="50"/>
      <c r="J48" s="52"/>
      <c r="K48" s="19"/>
      <c r="L48" s="20"/>
    </row>
    <row r="49" spans="1:12" x14ac:dyDescent="0.25">
      <c r="A49" s="47" t="s">
        <v>79</v>
      </c>
      <c r="B49" s="19"/>
      <c r="C49" s="48" t="s">
        <v>77</v>
      </c>
      <c r="D49" s="48" t="s">
        <v>45</v>
      </c>
      <c r="E49" s="48">
        <v>25</v>
      </c>
      <c r="F49" s="48" t="s">
        <v>78</v>
      </c>
      <c r="G49" s="48"/>
      <c r="H49" s="49">
        <f>IF(G49="",0,IF( G49="","",IF(G49= "Ausencia","0",E49)))</f>
        <v>0</v>
      </c>
      <c r="I49" s="49" t="str">
        <f>IF(G49="","NO","SI")</f>
        <v>NO</v>
      </c>
      <c r="J49" s="51">
        <f>IF(I49="SI",E49,0)</f>
        <v>0</v>
      </c>
      <c r="K49" s="19" t="str">
        <f>IF(G49="","",IF(G49="Ausencia", "Aceptable", "No Aceptable"))</f>
        <v/>
      </c>
      <c r="L49" s="20"/>
    </row>
    <row r="50" spans="1:12" x14ac:dyDescent="0.25">
      <c r="A50" s="47"/>
      <c r="B50" s="19"/>
      <c r="C50" s="48"/>
      <c r="D50" s="48"/>
      <c r="E50" s="48"/>
      <c r="F50" s="48"/>
      <c r="G50" s="48"/>
      <c r="H50" s="50"/>
      <c r="I50" s="50"/>
      <c r="J50" s="52"/>
      <c r="K50" s="19"/>
      <c r="L50" s="20"/>
    </row>
    <row r="51" spans="1:12" x14ac:dyDescent="0.25">
      <c r="A51" s="40" t="s">
        <v>86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2"/>
    </row>
    <row r="52" spans="1:12" x14ac:dyDescent="0.25">
      <c r="A52" s="43"/>
      <c r="B52" s="44"/>
      <c r="C52" s="12"/>
      <c r="D52" s="12"/>
      <c r="E52" s="12"/>
      <c r="F52" s="12"/>
      <c r="G52" s="13"/>
      <c r="H52" s="13"/>
      <c r="I52" s="13"/>
      <c r="J52" s="13"/>
      <c r="K52" s="45"/>
      <c r="L52" s="46"/>
    </row>
    <row r="53" spans="1:12" x14ac:dyDescent="0.25">
      <c r="A53" s="16"/>
      <c r="B53" s="15"/>
      <c r="C53" s="12"/>
      <c r="D53" s="12"/>
      <c r="E53" s="12"/>
      <c r="F53" s="12"/>
      <c r="G53" s="13"/>
      <c r="H53" s="13"/>
      <c r="I53" s="13"/>
      <c r="J53" s="13"/>
      <c r="K53" s="14"/>
      <c r="L53" s="17"/>
    </row>
    <row r="54" spans="1:12" x14ac:dyDescent="0.25">
      <c r="A54" s="34"/>
      <c r="B54" s="35"/>
      <c r="C54" s="13"/>
      <c r="D54" s="13"/>
      <c r="E54" s="13"/>
      <c r="F54" s="13"/>
      <c r="G54" s="13"/>
      <c r="H54" s="13"/>
      <c r="I54" s="13"/>
      <c r="J54" s="13"/>
      <c r="K54" s="45"/>
      <c r="L54" s="46"/>
    </row>
    <row r="55" spans="1:12" x14ac:dyDescent="0.25">
      <c r="A55" s="21" t="s">
        <v>80</v>
      </c>
      <c r="B55" s="22"/>
      <c r="C55" s="22"/>
      <c r="D55" s="22"/>
      <c r="E55" s="22"/>
      <c r="F55" s="27"/>
      <c r="G55" s="27"/>
      <c r="H55" s="27"/>
      <c r="I55" s="27"/>
      <c r="J55" s="27"/>
      <c r="K55" s="27"/>
      <c r="L55" s="28"/>
    </row>
    <row r="56" spans="1:12" x14ac:dyDescent="0.25">
      <c r="A56" s="23"/>
      <c r="B56" s="24"/>
      <c r="C56" s="24"/>
      <c r="D56" s="24"/>
      <c r="E56" s="24"/>
      <c r="F56" s="29" t="s">
        <v>81</v>
      </c>
      <c r="G56" s="29"/>
      <c r="H56" s="29"/>
      <c r="I56" s="29"/>
      <c r="J56" s="29"/>
      <c r="K56" s="29"/>
      <c r="L56" s="30"/>
    </row>
    <row r="57" spans="1:12" x14ac:dyDescent="0.25">
      <c r="A57" s="23"/>
      <c r="B57" s="24"/>
      <c r="C57" s="24"/>
      <c r="D57" s="24"/>
      <c r="E57" s="24"/>
      <c r="F57" s="29"/>
      <c r="G57" s="29"/>
      <c r="H57" s="29"/>
      <c r="I57" s="29"/>
      <c r="J57" s="29"/>
      <c r="K57" s="29"/>
      <c r="L57" s="30"/>
    </row>
    <row r="58" spans="1:12" ht="31.5" customHeight="1" x14ac:dyDescent="0.25">
      <c r="A58" s="23"/>
      <c r="B58" s="24"/>
      <c r="C58" s="24"/>
      <c r="D58" s="24"/>
      <c r="E58" s="24"/>
      <c r="F58" s="31" t="s">
        <v>82</v>
      </c>
      <c r="G58" s="31"/>
      <c r="H58" s="10">
        <f>H49+H47+H45+H44+H43+H42+H41+H40+H39+H38+H37+H36+H35+H34+H33+H32+H31+H30+H29+H28+H26+H24+H23</f>
        <v>0</v>
      </c>
      <c r="I58" s="32" t="s">
        <v>83</v>
      </c>
      <c r="J58" s="33"/>
      <c r="K58" s="19">
        <f>J49+J47+J45+J44+J43+J42+J41+J40+J39+J38+J37+J36+J35+J34+J33+J32+J31+J30+J29+J28+J24+J23</f>
        <v>0</v>
      </c>
      <c r="L58" s="20"/>
    </row>
    <row r="59" spans="1:12" ht="15.75" thickBot="1" x14ac:dyDescent="0.3">
      <c r="A59" s="25"/>
      <c r="B59" s="26"/>
      <c r="C59" s="26"/>
      <c r="D59" s="26"/>
      <c r="E59" s="26"/>
      <c r="F59" s="36" t="s">
        <v>84</v>
      </c>
      <c r="G59" s="36"/>
      <c r="H59" s="11" t="str">
        <f xml:space="preserve"> IF( K58= 0,"",(H58/K58) *100)</f>
        <v/>
      </c>
      <c r="I59" s="37" t="s">
        <v>85</v>
      </c>
      <c r="J59" s="38"/>
      <c r="K59" s="37" t="str">
        <f>IF( H59="","",IF(H59&lt;5.01,"Sin Riesgo", IF(H59&gt;14,IF(H59&gt;35, IF(H59&gt;80,"Inviable","Alto"), "Medio"), "Bajo")))</f>
        <v/>
      </c>
      <c r="L59" s="39"/>
    </row>
  </sheetData>
  <mergeCells count="120">
    <mergeCell ref="A6:B6"/>
    <mergeCell ref="C6:L6"/>
    <mergeCell ref="A7:L7"/>
    <mergeCell ref="A8:D8"/>
    <mergeCell ref="E8:L8"/>
    <mergeCell ref="A9:D9"/>
    <mergeCell ref="E9:L9"/>
    <mergeCell ref="A1:B3"/>
    <mergeCell ref="C1:G3"/>
    <mergeCell ref="H1:L1"/>
    <mergeCell ref="H2:L2"/>
    <mergeCell ref="H3:L3"/>
    <mergeCell ref="A4:L5"/>
    <mergeCell ref="A15:E15"/>
    <mergeCell ref="F15:L15"/>
    <mergeCell ref="A16:E16"/>
    <mergeCell ref="F16:L16"/>
    <mergeCell ref="A17:C17"/>
    <mergeCell ref="D17:E17"/>
    <mergeCell ref="F17:H17"/>
    <mergeCell ref="I17:L17"/>
    <mergeCell ref="A10:D10"/>
    <mergeCell ref="E10:L10"/>
    <mergeCell ref="A11:L11"/>
    <mergeCell ref="A12:L13"/>
    <mergeCell ref="A14:F14"/>
    <mergeCell ref="G14:L14"/>
    <mergeCell ref="J20:J21"/>
    <mergeCell ref="K20:L21"/>
    <mergeCell ref="A22:L22"/>
    <mergeCell ref="A23:B23"/>
    <mergeCell ref="K23:L23"/>
    <mergeCell ref="A24:B24"/>
    <mergeCell ref="K24:L24"/>
    <mergeCell ref="A18:B18"/>
    <mergeCell ref="C18:L18"/>
    <mergeCell ref="A19:L19"/>
    <mergeCell ref="A20:B21"/>
    <mergeCell ref="C20:C21"/>
    <mergeCell ref="D20:D21"/>
    <mergeCell ref="E20:F20"/>
    <mergeCell ref="G20:G21"/>
    <mergeCell ref="H20:H21"/>
    <mergeCell ref="I20:I21"/>
    <mergeCell ref="A29:B29"/>
    <mergeCell ref="K29:L29"/>
    <mergeCell ref="A30:B30"/>
    <mergeCell ref="K30:L30"/>
    <mergeCell ref="A31:B31"/>
    <mergeCell ref="K31:L31"/>
    <mergeCell ref="A25:B25"/>
    <mergeCell ref="K25:L25"/>
    <mergeCell ref="A26:B26"/>
    <mergeCell ref="K26:L26"/>
    <mergeCell ref="A27:L27"/>
    <mergeCell ref="A28:B28"/>
    <mergeCell ref="K28:L28"/>
    <mergeCell ref="A35:B35"/>
    <mergeCell ref="K35:L35"/>
    <mergeCell ref="A36:B36"/>
    <mergeCell ref="K36:L36"/>
    <mergeCell ref="A37:B37"/>
    <mergeCell ref="K37:L37"/>
    <mergeCell ref="A32:B32"/>
    <mergeCell ref="K32:L32"/>
    <mergeCell ref="A33:B33"/>
    <mergeCell ref="K33:L33"/>
    <mergeCell ref="A34:B34"/>
    <mergeCell ref="K34:L34"/>
    <mergeCell ref="A41:B41"/>
    <mergeCell ref="K41:L41"/>
    <mergeCell ref="A42:B42"/>
    <mergeCell ref="K42:L42"/>
    <mergeCell ref="A43:B43"/>
    <mergeCell ref="K43:L43"/>
    <mergeCell ref="A38:B38"/>
    <mergeCell ref="K38:L38"/>
    <mergeCell ref="A39:B39"/>
    <mergeCell ref="K39:L39"/>
    <mergeCell ref="A40:B40"/>
    <mergeCell ref="K40:L40"/>
    <mergeCell ref="A44:B44"/>
    <mergeCell ref="K44:L44"/>
    <mergeCell ref="A45:B45"/>
    <mergeCell ref="K45:L45"/>
    <mergeCell ref="A46:L46"/>
    <mergeCell ref="A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L48"/>
    <mergeCell ref="K49:L50"/>
    <mergeCell ref="A55:E59"/>
    <mergeCell ref="F55:L55"/>
    <mergeCell ref="F56:L57"/>
    <mergeCell ref="F58:G58"/>
    <mergeCell ref="I58:J58"/>
    <mergeCell ref="A54:B54"/>
    <mergeCell ref="K58:L58"/>
    <mergeCell ref="F59:G59"/>
    <mergeCell ref="I59:J59"/>
    <mergeCell ref="K59:L59"/>
    <mergeCell ref="A51:L51"/>
    <mergeCell ref="A52:B52"/>
    <mergeCell ref="K52:L52"/>
    <mergeCell ref="K54:L54"/>
    <mergeCell ref="A49:B50"/>
    <mergeCell ref="C49:C50"/>
    <mergeCell ref="D49:D50"/>
    <mergeCell ref="E49:E50"/>
    <mergeCell ref="F49:F50"/>
    <mergeCell ref="G49:G50"/>
    <mergeCell ref="H49:H50"/>
    <mergeCell ref="I49:I50"/>
    <mergeCell ref="J49:J50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RESUTADOS DE ANALISIS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CEPEDA</dc:creator>
  <cp:lastModifiedBy>CAMILO CEPEDA</cp:lastModifiedBy>
  <dcterms:created xsi:type="dcterms:W3CDTF">2021-03-04T20:38:31Z</dcterms:created>
  <dcterms:modified xsi:type="dcterms:W3CDTF">2021-09-07T21:23:08Z</dcterms:modified>
</cp:coreProperties>
</file>